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341" windowWidth="7485" windowHeight="9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<sst xmlns="http://schemas.openxmlformats.org/spreadsheetml/2006/main" count="21" uniqueCount="21">
  <si>
    <t>Depth</t>
  </si>
  <si>
    <t>Area</t>
  </si>
  <si>
    <t>Slope</t>
  </si>
  <si>
    <t>n=</t>
  </si>
  <si>
    <t>Hyd Radius</t>
  </si>
  <si>
    <t>Vel</t>
  </si>
  <si>
    <t>H</t>
  </si>
  <si>
    <t>dH</t>
  </si>
  <si>
    <t>Rav</t>
  </si>
  <si>
    <t>Vav</t>
  </si>
  <si>
    <t>dx</t>
  </si>
  <si>
    <t>X</t>
  </si>
  <si>
    <t>Width (Ft)</t>
  </si>
  <si>
    <t>Q(cfs)=</t>
  </si>
  <si>
    <t>del y=</t>
  </si>
  <si>
    <t>Yn=</t>
  </si>
  <si>
    <t>Yc=</t>
  </si>
  <si>
    <t>Slope EGL</t>
  </si>
  <si>
    <t>Estimated from Wide Channel</t>
  </si>
  <si>
    <t>WSELEV</t>
  </si>
  <si>
    <t>Invert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</si>
</sst>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Water Surface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Sheet1!$K$6:$K$33</c:f>
              <c:numCache>
                <c:ptCount val="28"/>
                <c:pt idx="0">
                  <c:v>15</c:v>
                </c:pt>
                <c:pt idx="1">
                  <c:v>28.943921677838063</c:v>
                </c:pt>
                <c:pt idx="2">
                  <c:v>85.6754804049452</c:v>
                </c:pt>
                <c:pt idx="3">
                  <c:v>211.88805697640163</c:v>
                </c:pt>
                <c:pt idx="4">
                  <c:v>455.6255453136422</c:v>
                </c:pt>
                <c:pt idx="5">
                  <c:v>919.524369520205</c:v>
                </c:pt>
                <c:pt idx="6">
                  <c:v>1561.1451894078943</c:v>
                </c:pt>
                <c:pt idx="7">
                  <c:v>1561.1451894078943</c:v>
                </c:pt>
                <c:pt idx="8">
                  <c:v>1561.1451894078943</c:v>
                </c:pt>
                <c:pt idx="9">
                  <c:v>1561.1451894078943</c:v>
                </c:pt>
                <c:pt idx="10">
                  <c:v>1561.1451894078943</c:v>
                </c:pt>
                <c:pt idx="11">
                  <c:v>1561.1451894078943</c:v>
                </c:pt>
                <c:pt idx="12">
                  <c:v>1561.1451894078943</c:v>
                </c:pt>
                <c:pt idx="13">
                  <c:v>1561.1451894078943</c:v>
                </c:pt>
                <c:pt idx="14">
                  <c:v>1561.1451894078943</c:v>
                </c:pt>
                <c:pt idx="15">
                  <c:v>1561.1451894078943</c:v>
                </c:pt>
                <c:pt idx="16">
                  <c:v>1561.1451894078943</c:v>
                </c:pt>
                <c:pt idx="17">
                  <c:v>1561.1451894078943</c:v>
                </c:pt>
                <c:pt idx="18">
                  <c:v>1561.1451894078943</c:v>
                </c:pt>
                <c:pt idx="19">
                  <c:v>1561.1451894078943</c:v>
                </c:pt>
                <c:pt idx="20">
                  <c:v>1561.1451894078943</c:v>
                </c:pt>
                <c:pt idx="21">
                  <c:v>1561.1451894078943</c:v>
                </c:pt>
                <c:pt idx="22">
                  <c:v>1561.1451894078943</c:v>
                </c:pt>
                <c:pt idx="23">
                  <c:v>1561.1451894078943</c:v>
                </c:pt>
                <c:pt idx="24">
                  <c:v>1561.1451894078943</c:v>
                </c:pt>
                <c:pt idx="25">
                  <c:v>1561.1451894078943</c:v>
                </c:pt>
                <c:pt idx="26">
                  <c:v>1561.1451894078943</c:v>
                </c:pt>
                <c:pt idx="27">
                  <c:v>1561.1451894078943</c:v>
                </c:pt>
              </c:numCache>
            </c:numRef>
          </c:xVal>
          <c:yVal>
            <c:numRef>
              <c:f>Sheet1!$L$6:$L$33</c:f>
              <c:numCache>
                <c:ptCount val="28"/>
                <c:pt idx="0">
                  <c:v>1.431721535399094</c:v>
                </c:pt>
                <c:pt idx="1">
                  <c:v>1.6947998574584975</c:v>
                </c:pt>
                <c:pt idx="2">
                  <c:v>1.9704340339264768</c:v>
                </c:pt>
                <c:pt idx="3">
                  <c:v>2.277463234831637</c:v>
                </c:pt>
                <c:pt idx="4">
                  <c:v>2.6375961119830182</c:v>
                </c:pt>
                <c:pt idx="5">
                  <c:v>3.097208972793013</c:v>
                </c:pt>
                <c:pt idx="6">
                  <c:v>3.569452267992655</c:v>
                </c:pt>
                <c:pt idx="7">
                  <c:v>3.569452267992655</c:v>
                </c:pt>
                <c:pt idx="8">
                  <c:v>3.569452267992655</c:v>
                </c:pt>
                <c:pt idx="9">
                  <c:v>3.569452267992655</c:v>
                </c:pt>
              </c:numCache>
            </c:numRef>
          </c:yVal>
          <c:smooth val="0"/>
        </c:ser>
        <c:ser>
          <c:idx val="1"/>
          <c:order val="1"/>
          <c:tx>
            <c:v>Channel Invert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Sheet1!$K$6:$K$33</c:f>
              <c:numCache>
                <c:ptCount val="28"/>
                <c:pt idx="0">
                  <c:v>15</c:v>
                </c:pt>
                <c:pt idx="1">
                  <c:v>28.943921677838063</c:v>
                </c:pt>
                <c:pt idx="2">
                  <c:v>85.6754804049452</c:v>
                </c:pt>
                <c:pt idx="3">
                  <c:v>211.88805697640163</c:v>
                </c:pt>
                <c:pt idx="4">
                  <c:v>455.6255453136422</c:v>
                </c:pt>
                <c:pt idx="5">
                  <c:v>919.524369520205</c:v>
                </c:pt>
                <c:pt idx="6">
                  <c:v>1561.1451894078943</c:v>
                </c:pt>
                <c:pt idx="7">
                  <c:v>1561.1451894078943</c:v>
                </c:pt>
                <c:pt idx="8">
                  <c:v>1561.1451894078943</c:v>
                </c:pt>
                <c:pt idx="9">
                  <c:v>1561.1451894078943</c:v>
                </c:pt>
                <c:pt idx="10">
                  <c:v>1561.1451894078943</c:v>
                </c:pt>
                <c:pt idx="11">
                  <c:v>1561.1451894078943</c:v>
                </c:pt>
                <c:pt idx="12">
                  <c:v>1561.1451894078943</c:v>
                </c:pt>
                <c:pt idx="13">
                  <c:v>1561.1451894078943</c:v>
                </c:pt>
                <c:pt idx="14">
                  <c:v>1561.1451894078943</c:v>
                </c:pt>
                <c:pt idx="15">
                  <c:v>1561.1451894078943</c:v>
                </c:pt>
                <c:pt idx="16">
                  <c:v>1561.1451894078943</c:v>
                </c:pt>
                <c:pt idx="17">
                  <c:v>1561.1451894078943</c:v>
                </c:pt>
                <c:pt idx="18">
                  <c:v>1561.1451894078943</c:v>
                </c:pt>
                <c:pt idx="19">
                  <c:v>1561.1451894078943</c:v>
                </c:pt>
                <c:pt idx="20">
                  <c:v>1561.1451894078943</c:v>
                </c:pt>
                <c:pt idx="21">
                  <c:v>1561.1451894078943</c:v>
                </c:pt>
                <c:pt idx="22">
                  <c:v>1561.1451894078943</c:v>
                </c:pt>
                <c:pt idx="23">
                  <c:v>1561.1451894078943</c:v>
                </c:pt>
                <c:pt idx="24">
                  <c:v>1561.1451894078943</c:v>
                </c:pt>
                <c:pt idx="25">
                  <c:v>1561.1451894078943</c:v>
                </c:pt>
                <c:pt idx="26">
                  <c:v>1561.1451894078943</c:v>
                </c:pt>
                <c:pt idx="27">
                  <c:v>1561.1451894078943</c:v>
                </c:pt>
              </c:numCache>
            </c:numRef>
          </c:xVal>
          <c:yVal>
            <c:numRef>
              <c:f>Sheet1!$M$6:$M$33</c:f>
              <c:numCache>
                <c:ptCount val="28"/>
                <c:pt idx="0">
                  <c:v>0.006777755726213891</c:v>
                </c:pt>
                <c:pt idx="1">
                  <c:v>0.013078322059403553</c:v>
                </c:pt>
                <c:pt idx="2">
                  <c:v>0.03871249852738289</c:v>
                </c:pt>
                <c:pt idx="3">
                  <c:v>0.09574169943254275</c:v>
                </c:pt>
                <c:pt idx="4">
                  <c:v>0.20587457658392433</c:v>
                </c:pt>
                <c:pt idx="5">
                  <c:v>0.4154874373939192</c:v>
                </c:pt>
                <c:pt idx="6">
                  <c:v>0.705404049797375</c:v>
                </c:pt>
                <c:pt idx="7">
                  <c:v>0.705404049797375</c:v>
                </c:pt>
                <c:pt idx="8">
                  <c:v>0.705404049797375</c:v>
                </c:pt>
                <c:pt idx="9">
                  <c:v>0.705404049797375</c:v>
                </c:pt>
              </c:numCache>
            </c:numRef>
          </c:yVal>
          <c:smooth val="0"/>
        </c:ser>
        <c:axId val="11554856"/>
        <c:axId val="36884841"/>
      </c:scatterChart>
      <c:valAx>
        <c:axId val="11554856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Overfall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crossBetween val="midCat"/>
        <c:dispUnits/>
        <c:majorUnit val="500"/>
        <c:minorUnit val="100"/>
      </c:valAx>
      <c:valAx>
        <c:axId val="3688484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elevation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4856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6</xdr:row>
      <xdr:rowOff>95250</xdr:rowOff>
    </xdr:from>
    <xdr:to>
      <xdr:col>20</xdr:col>
      <xdr:colOff>533400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143875" y="1066800"/>
        <a:ext cx="46482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D1">
      <selection activeCell="K17" sqref="K17"/>
    </sheetView>
  </sheetViews>
  <sheetFormatPr defaultColWidth="9.140625" defaultRowHeight="12.75"/>
  <cols>
    <col min="1" max="2" width="9.140625" style="1" customWidth="1"/>
    <col min="3" max="3" width="10.421875" style="2" customWidth="1"/>
    <col min="4" max="4" width="8.8515625" style="4" customWidth="1"/>
    <col min="5" max="11" width="9.140625" style="1" customWidth="1"/>
  </cols>
  <sheetData>
    <row r="1" spans="1:7" ht="12.75">
      <c r="A1" s="1" t="s">
        <v>2</v>
      </c>
      <c r="B1" s="1">
        <f>_XLL.RISKTRIANG(0.0003,0.0005,0.0007)</f>
        <v>0.0005078877169785343</v>
      </c>
      <c r="C1" s="2" t="s">
        <v>3</v>
      </c>
      <c r="D1" s="3">
        <f>_XLL.RISKTRIANG(0.016,0.018,0.02)</f>
        <v>0.018872348096300118</v>
      </c>
      <c r="E1" s="1" t="s">
        <v>15</v>
      </c>
      <c r="F1" s="4">
        <f>(((B4/B2)*D1)/(1.49*(B1^0.5)))^(0.6)</f>
        <v>2.968522438066983</v>
      </c>
      <c r="G1" s="8" t="s">
        <v>18</v>
      </c>
    </row>
    <row r="2" spans="1:6" ht="12.75">
      <c r="A2" s="1" t="s">
        <v>12</v>
      </c>
      <c r="B2" s="5">
        <f>_XLL.RISKTRIANG(18,20,22)</f>
        <v>19.352195944110626</v>
      </c>
      <c r="E2" s="1" t="s">
        <v>16</v>
      </c>
      <c r="F2" s="4">
        <f>(((B4/B2)^2)/32.2)^0.333</f>
        <v>1.5454906954748653</v>
      </c>
    </row>
    <row r="3" spans="1:6" ht="12.75">
      <c r="A3" s="1" t="s">
        <v>14</v>
      </c>
      <c r="B3" s="1">
        <v>0.25</v>
      </c>
      <c r="F3" s="4"/>
    </row>
    <row r="4" spans="1:2" ht="12.75">
      <c r="A4" s="1" t="s">
        <v>13</v>
      </c>
      <c r="B4" s="6">
        <f>_XLL.RISKNORMAL(200,10,_XLL.RISKTRUNCATE(100,300))</f>
        <v>211.1259730325523</v>
      </c>
    </row>
    <row r="5" spans="1:13" ht="12.75">
      <c r="A5" s="1" t="s">
        <v>0</v>
      </c>
      <c r="B5" s="1" t="s">
        <v>1</v>
      </c>
      <c r="C5" s="2" t="s">
        <v>4</v>
      </c>
      <c r="D5" s="4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17</v>
      </c>
      <c r="J5" s="1" t="s">
        <v>10</v>
      </c>
      <c r="K5" s="1" t="s">
        <v>11</v>
      </c>
      <c r="L5" s="1" t="s">
        <v>19</v>
      </c>
      <c r="M5" s="1" t="s">
        <v>20</v>
      </c>
    </row>
    <row r="6" spans="1:13" ht="12.75">
      <c r="A6" s="4">
        <f>F2</f>
        <v>1.5454906954748653</v>
      </c>
      <c r="B6" s="5">
        <f>A6*$B$2</f>
        <v>29.908638768629398</v>
      </c>
      <c r="C6" s="4">
        <f>B6/($B$2+A6*2)</f>
        <v>1.3326383480429318</v>
      </c>
      <c r="D6" s="4">
        <f>$B$4/B6</f>
        <v>7.059029822982058</v>
      </c>
      <c r="E6" s="2">
        <f>A6+(D6)^2/(2*32.2)</f>
        <v>2.319246938359184</v>
      </c>
      <c r="F6" s="3"/>
      <c r="K6" s="1">
        <f>_XLL.RISKOUTPUT(,"Dist",1)+15</f>
        <v>15</v>
      </c>
      <c r="L6" s="9">
        <f>_XLL.RISKOUTPUT(,"WSELV",1)+F2</f>
        <v>1.5454906954748653</v>
      </c>
      <c r="M6">
        <f aca="true" t="shared" si="0" ref="M6:M15">0+$B$1*K6</f>
        <v>0.007618315754678015</v>
      </c>
    </row>
    <row r="7" spans="1:13" ht="12.75">
      <c r="A7" s="4">
        <f>IF(A6+$B$3&lt;=$F$1,A6+$B$3,$F$1)</f>
        <v>1.7954906954748653</v>
      </c>
      <c r="B7" s="5">
        <f aca="true" t="shared" si="1" ref="B7:B32">A7*$B$2</f>
        <v>34.74668775465705</v>
      </c>
      <c r="C7" s="4">
        <f>B7/($B$2+A7*2)</f>
        <v>1.5144671222829846</v>
      </c>
      <c r="D7" s="4">
        <f>$B$4/B7</f>
        <v>6.076146725791306</v>
      </c>
      <c r="E7" s="2">
        <f>A7+(D7)^2/(2*32.2)</f>
        <v>2.368775773632387</v>
      </c>
      <c r="F7" s="3">
        <f>E7-E6</f>
        <v>0.049528835273203065</v>
      </c>
      <c r="G7" s="2">
        <f aca="true" t="shared" si="2" ref="G7:H10">(C6+C7)/2</f>
        <v>1.4235527351629582</v>
      </c>
      <c r="H7" s="4">
        <f t="shared" si="2"/>
        <v>6.567588274386682</v>
      </c>
      <c r="I7" s="7">
        <f>(($D$1*H7)/(1.49*G7^0.67))^2</f>
        <v>0.00431092638837743</v>
      </c>
      <c r="J7" s="4">
        <f>F7/((I7)-$B$1)</f>
        <v>13.023489780866353</v>
      </c>
      <c r="K7" s="5">
        <f>_XLL.RISKOUTPUT(,"Dist",2)+K6+J7</f>
        <v>28.023489780866353</v>
      </c>
      <c r="L7">
        <f>_XLL.RISKOUTPUT(,"WSELV",2)+A7+$B$1*K7</f>
        <v>1.8097234817214407</v>
      </c>
      <c r="M7">
        <f t="shared" si="0"/>
        <v>0.014232786246575499</v>
      </c>
    </row>
    <row r="8" spans="1:13" ht="12.75">
      <c r="A8" s="4">
        <f aca="true" t="shared" si="3" ref="A8:A33">IF(A7+$B$3&lt;=$F$1,A7+$B$3,$F$1)</f>
        <v>2.0454906954748653</v>
      </c>
      <c r="B8" s="5">
        <f t="shared" si="1"/>
        <v>39.58473674068471</v>
      </c>
      <c r="C8" s="4">
        <f>B8/($B$2+A8*2)</f>
        <v>1.6885397476170565</v>
      </c>
      <c r="D8" s="4">
        <f>$B$4/B8</f>
        <v>5.333519695119246</v>
      </c>
      <c r="E8" s="2">
        <f>A8+(D8)^2/(2*32.2)</f>
        <v>2.4872054833355</v>
      </c>
      <c r="F8" s="3">
        <f aca="true" t="shared" si="4" ref="F8:F33">E8-E7</f>
        <v>0.11842970970311306</v>
      </c>
      <c r="G8" s="2">
        <f t="shared" si="2"/>
        <v>1.6015034349500206</v>
      </c>
      <c r="H8" s="4">
        <f t="shared" si="2"/>
        <v>5.704833210455275</v>
      </c>
      <c r="I8" s="7">
        <f>(($D$1*H8)/(1.49*G8^0.67))^2</f>
        <v>0.0027777802870426038</v>
      </c>
      <c r="J8" s="4">
        <f aca="true" t="shared" si="5" ref="J8:J33">F8/((I8)-$B$1)</f>
        <v>52.17414747508085</v>
      </c>
      <c r="K8" s="5">
        <f>_XLL.RISKOUTPUT(,"Dist",3)+K7+J8</f>
        <v>80.1976372559472</v>
      </c>
      <c r="L8">
        <f>_XLL.RISKOUTPUT(,"WSELV",3)+A8+$B$1*K8</f>
        <v>2.086222090367861</v>
      </c>
      <c r="M8">
        <f t="shared" si="0"/>
        <v>0.040731394892995675</v>
      </c>
    </row>
    <row r="9" spans="1:13" ht="12.75">
      <c r="A9" s="4">
        <f t="shared" si="3"/>
        <v>2.2954906954748653</v>
      </c>
      <c r="B9" s="5">
        <f t="shared" si="1"/>
        <v>44.42278572671237</v>
      </c>
      <c r="C9" s="4">
        <f>B9/($B$2+A9*2)</f>
        <v>1.8553421337970637</v>
      </c>
      <c r="D9" s="4">
        <f>$B$4/B9</f>
        <v>4.752650460315409</v>
      </c>
      <c r="E9" s="2">
        <f>A9+(D9)^2/(2*32.2)</f>
        <v>2.646231167492509</v>
      </c>
      <c r="F9" s="3">
        <f t="shared" si="4"/>
        <v>0.15902568415700902</v>
      </c>
      <c r="G9" s="2">
        <f t="shared" si="2"/>
        <v>1.77194094070706</v>
      </c>
      <c r="H9" s="4">
        <f t="shared" si="2"/>
        <v>5.043085077717327</v>
      </c>
      <c r="I9" s="7">
        <f aca="true" t="shared" si="6" ref="I9:I33">(($D$1*H9)/(1.49*G9^0.67))^2</f>
        <v>0.001895614161760734</v>
      </c>
      <c r="J9" s="4">
        <f t="shared" si="5"/>
        <v>114.59440349712995</v>
      </c>
      <c r="K9" s="5">
        <f>_XLL.RISKOUTPUT(,"Dist",4)+K8+J9</f>
        <v>194.79204075307715</v>
      </c>
      <c r="L9">
        <f>_XLL.RISKOUTPUT(,"WSELV",4)+A9+$B$1*K9</f>
        <v>2.3944231803385354</v>
      </c>
      <c r="M9">
        <f t="shared" si="0"/>
        <v>0.09893248486366997</v>
      </c>
    </row>
    <row r="10" spans="1:13" ht="12.75">
      <c r="A10" s="4">
        <f t="shared" si="3"/>
        <v>2.5454906954748653</v>
      </c>
      <c r="B10" s="5">
        <f t="shared" si="1"/>
        <v>49.26083471274003</v>
      </c>
      <c r="C10" s="4">
        <f>B10/($B$2+A10*2)</f>
        <v>2.015320432261569</v>
      </c>
      <c r="D10" s="4">
        <f>$B$4/B10</f>
        <v>4.285878919098992</v>
      </c>
      <c r="E10" s="2">
        <f>A10+(D10)^2/(2*32.2)</f>
        <v>2.8307198586608457</v>
      </c>
      <c r="F10" s="3">
        <f t="shared" si="4"/>
        <v>0.18448869116833677</v>
      </c>
      <c r="G10" s="2">
        <f t="shared" si="2"/>
        <v>1.9353312830293166</v>
      </c>
      <c r="H10" s="4">
        <f t="shared" si="2"/>
        <v>4.5192646897072</v>
      </c>
      <c r="I10" s="7">
        <f t="shared" si="6"/>
        <v>0.0013525794112199253</v>
      </c>
      <c r="J10" s="4">
        <f t="shared" si="5"/>
        <v>218.40950068062904</v>
      </c>
      <c r="K10" s="5">
        <f>_XLL.RISKOUTPUT(,"Dist",5)+K9+J10</f>
        <v>413.2015414337062</v>
      </c>
      <c r="L10">
        <f>_XLL.RISKOUTPUT(,"WSELV",5)+A10+$B$1*K10</f>
        <v>2.755350683005642</v>
      </c>
      <c r="M10">
        <f t="shared" si="0"/>
        <v>0.2098599875307763</v>
      </c>
    </row>
    <row r="11" spans="1:13" ht="12.75">
      <c r="A11" s="4">
        <f t="shared" si="3"/>
        <v>2.7954906954748653</v>
      </c>
      <c r="B11" s="5">
        <f t="shared" si="1"/>
        <v>54.09888369876768</v>
      </c>
      <c r="C11" s="4">
        <f aca="true" t="shared" si="7" ref="C11:C33">B11/($B$2+A11*2)</f>
        <v>2.1688850210243986</v>
      </c>
      <c r="D11" s="4">
        <f aca="true" t="shared" si="8" ref="D11:D33">$B$4/B11</f>
        <v>3.902593890996711</v>
      </c>
      <c r="E11" s="2">
        <f aca="true" t="shared" si="9" ref="E11:E33">A11+(D11)^2/(2*32.2)</f>
        <v>3.0319850910966797</v>
      </c>
      <c r="F11" s="3">
        <f t="shared" si="4"/>
        <v>0.20126523243583394</v>
      </c>
      <c r="G11" s="2">
        <f aca="true" t="shared" si="10" ref="G11:G33">(C10+C11)/2</f>
        <v>2.0921027266429837</v>
      </c>
      <c r="H11" s="4">
        <f aca="true" t="shared" si="11" ref="H11:H33">(D10+D11)/2</f>
        <v>4.094236405047852</v>
      </c>
      <c r="I11" s="7">
        <f t="shared" si="6"/>
        <v>0.0010001011896749277</v>
      </c>
      <c r="J11" s="4">
        <f t="shared" si="5"/>
        <v>408.898259800333</v>
      </c>
      <c r="K11" s="5">
        <f>_XLL.RISKOUTPUT(,"Dist",6)+K10+J11</f>
        <v>822.0998012340392</v>
      </c>
      <c r="L11">
        <f>_XLL.RISKOUTPUT(,"WSELV",6)+A11+$B$1*K11</f>
        <v>3.213025086652128</v>
      </c>
      <c r="M11">
        <f t="shared" si="0"/>
        <v>0.41753439117726304</v>
      </c>
    </row>
    <row r="12" spans="1:13" ht="12.75">
      <c r="A12" s="4">
        <f t="shared" si="3"/>
        <v>2.968522438066983</v>
      </c>
      <c r="B12" s="5">
        <f t="shared" si="1"/>
        <v>57.447427885961254</v>
      </c>
      <c r="C12" s="4">
        <f t="shared" si="7"/>
        <v>2.271615359840036</v>
      </c>
      <c r="D12" s="4">
        <f t="shared" si="8"/>
        <v>3.6751162027942827</v>
      </c>
      <c r="E12" s="2">
        <f t="shared" si="9"/>
        <v>3.178250374465136</v>
      </c>
      <c r="F12" s="3">
        <f t="shared" si="4"/>
        <v>0.14626528336845634</v>
      </c>
      <c r="G12" s="2">
        <f t="shared" si="10"/>
        <v>2.2202501904322176</v>
      </c>
      <c r="H12" s="4">
        <f t="shared" si="11"/>
        <v>3.788855046895497</v>
      </c>
      <c r="I12" s="7">
        <f t="shared" si="6"/>
        <v>0.0007908912185797026</v>
      </c>
      <c r="J12" s="4">
        <f t="shared" si="5"/>
        <v>516.8320622922375</v>
      </c>
      <c r="K12" s="5">
        <f>_XLL.RISKOUTPUT(,"Dist",7)+K11+J12</f>
        <v>1338.9318635262766</v>
      </c>
      <c r="L12">
        <f>_XLL.RISKOUTPUT(,"WSELV",7)+A12+$B$1*K12</f>
        <v>3.6485494854231577</v>
      </c>
      <c r="M12">
        <f t="shared" si="0"/>
        <v>0.6800270473561751</v>
      </c>
    </row>
    <row r="13" spans="1:13" ht="12.75">
      <c r="A13" s="4">
        <f t="shared" si="3"/>
        <v>2.968522438066983</v>
      </c>
      <c r="B13" s="5">
        <f t="shared" si="1"/>
        <v>57.447427885961254</v>
      </c>
      <c r="C13" s="4">
        <f t="shared" si="7"/>
        <v>2.271615359840036</v>
      </c>
      <c r="D13" s="4">
        <f t="shared" si="8"/>
        <v>3.6751162027942827</v>
      </c>
      <c r="E13" s="2">
        <f t="shared" si="9"/>
        <v>3.178250374465136</v>
      </c>
      <c r="F13" s="3">
        <f t="shared" si="4"/>
        <v>0</v>
      </c>
      <c r="G13" s="2">
        <f t="shared" si="10"/>
        <v>2.271615359840036</v>
      </c>
      <c r="H13" s="4">
        <f t="shared" si="11"/>
        <v>3.6751162027942827</v>
      </c>
      <c r="I13" s="7">
        <f t="shared" si="6"/>
        <v>0.0007216603815973618</v>
      </c>
      <c r="J13" s="4">
        <f t="shared" si="5"/>
        <v>0</v>
      </c>
      <c r="K13" s="5">
        <f>_XLL.RISKOUTPUT(,"Dist",8)+K12+J13</f>
        <v>1338.9318635262766</v>
      </c>
      <c r="L13">
        <f>_XLL.RISKOUTPUT(,"WSELV",8)+A13+$B$1*K13</f>
        <v>3.6485494854231577</v>
      </c>
      <c r="M13">
        <f t="shared" si="0"/>
        <v>0.6800270473561751</v>
      </c>
    </row>
    <row r="14" spans="1:13" ht="12.75">
      <c r="A14" s="4">
        <f t="shared" si="3"/>
        <v>2.968522438066983</v>
      </c>
      <c r="B14" s="5">
        <f t="shared" si="1"/>
        <v>57.447427885961254</v>
      </c>
      <c r="C14" s="4">
        <f t="shared" si="7"/>
        <v>2.271615359840036</v>
      </c>
      <c r="D14" s="4">
        <f t="shared" si="8"/>
        <v>3.6751162027942827</v>
      </c>
      <c r="E14" s="2">
        <f t="shared" si="9"/>
        <v>3.178250374465136</v>
      </c>
      <c r="F14" s="3">
        <f t="shared" si="4"/>
        <v>0</v>
      </c>
      <c r="G14" s="2">
        <f t="shared" si="10"/>
        <v>2.271615359840036</v>
      </c>
      <c r="H14" s="4">
        <f t="shared" si="11"/>
        <v>3.6751162027942827</v>
      </c>
      <c r="I14" s="7">
        <f t="shared" si="6"/>
        <v>0.0007216603815973618</v>
      </c>
      <c r="J14" s="4">
        <f t="shared" si="5"/>
        <v>0</v>
      </c>
      <c r="K14" s="5">
        <f>_XLL.RISKOUTPUT(,"Dist",9)+K13+J14</f>
        <v>1338.9318635262766</v>
      </c>
      <c r="L14">
        <f>_XLL.RISKOUTPUT(,"WSELV",9)+A14+$B$1*K14</f>
        <v>3.6485494854231577</v>
      </c>
      <c r="M14">
        <f t="shared" si="0"/>
        <v>0.6800270473561751</v>
      </c>
    </row>
    <row r="15" spans="1:13" ht="12.75">
      <c r="A15" s="4">
        <f t="shared" si="3"/>
        <v>2.968522438066983</v>
      </c>
      <c r="B15" s="5">
        <f t="shared" si="1"/>
        <v>57.447427885961254</v>
      </c>
      <c r="C15" s="4">
        <f t="shared" si="7"/>
        <v>2.271615359840036</v>
      </c>
      <c r="D15" s="4">
        <f t="shared" si="8"/>
        <v>3.6751162027942827</v>
      </c>
      <c r="E15" s="2">
        <f t="shared" si="9"/>
        <v>3.178250374465136</v>
      </c>
      <c r="F15" s="3">
        <f t="shared" si="4"/>
        <v>0</v>
      </c>
      <c r="G15" s="2">
        <f t="shared" si="10"/>
        <v>2.271615359840036</v>
      </c>
      <c r="H15" s="4">
        <f t="shared" si="11"/>
        <v>3.6751162027942827</v>
      </c>
      <c r="I15" s="7">
        <f t="shared" si="6"/>
        <v>0.0007216603815973618</v>
      </c>
      <c r="J15" s="4">
        <f t="shared" si="5"/>
        <v>0</v>
      </c>
      <c r="K15" s="5">
        <f>_XLL.RISKOUTPUT(,"Dist",10)+K14+J15</f>
        <v>1338.9318635262766</v>
      </c>
      <c r="L15">
        <f>_XLL.RISKOUTPUT(,"WSELV",10)+A15+$B$1*K15</f>
        <v>3.6485494854231577</v>
      </c>
      <c r="M15">
        <f t="shared" si="0"/>
        <v>0.6800270473561751</v>
      </c>
    </row>
    <row r="16" spans="1:11" ht="12.75">
      <c r="A16" s="4">
        <f t="shared" si="3"/>
        <v>2.968522438066983</v>
      </c>
      <c r="B16" s="5">
        <f t="shared" si="1"/>
        <v>57.447427885961254</v>
      </c>
      <c r="C16" s="4">
        <f t="shared" si="7"/>
        <v>2.271615359840036</v>
      </c>
      <c r="D16" s="4">
        <f t="shared" si="8"/>
        <v>3.6751162027942827</v>
      </c>
      <c r="E16" s="2">
        <f t="shared" si="9"/>
        <v>3.178250374465136</v>
      </c>
      <c r="F16" s="3">
        <f t="shared" si="4"/>
        <v>0</v>
      </c>
      <c r="G16" s="2">
        <f t="shared" si="10"/>
        <v>2.271615359840036</v>
      </c>
      <c r="H16" s="4">
        <f t="shared" si="11"/>
        <v>3.6751162027942827</v>
      </c>
      <c r="I16" s="7">
        <f t="shared" si="6"/>
        <v>0.0007216603815973618</v>
      </c>
      <c r="J16" s="4">
        <f t="shared" si="5"/>
        <v>0</v>
      </c>
      <c r="K16" s="5">
        <f aca="true" t="shared" si="12" ref="K11:K33">K15+J16</f>
        <v>1338.9318635262766</v>
      </c>
    </row>
    <row r="17" spans="1:11" ht="12.75">
      <c r="A17" s="4">
        <f t="shared" si="3"/>
        <v>2.968522438066983</v>
      </c>
      <c r="B17" s="5">
        <f t="shared" si="1"/>
        <v>57.447427885961254</v>
      </c>
      <c r="C17" s="4">
        <f t="shared" si="7"/>
        <v>2.271615359840036</v>
      </c>
      <c r="D17" s="4">
        <f t="shared" si="8"/>
        <v>3.6751162027942827</v>
      </c>
      <c r="E17" s="2">
        <f t="shared" si="9"/>
        <v>3.178250374465136</v>
      </c>
      <c r="F17" s="3">
        <f t="shared" si="4"/>
        <v>0</v>
      </c>
      <c r="G17" s="2">
        <f t="shared" si="10"/>
        <v>2.271615359840036</v>
      </c>
      <c r="H17" s="4">
        <f t="shared" si="11"/>
        <v>3.6751162027942827</v>
      </c>
      <c r="I17" s="7">
        <f t="shared" si="6"/>
        <v>0.0007216603815973618</v>
      </c>
      <c r="J17" s="4">
        <f t="shared" si="5"/>
        <v>0</v>
      </c>
      <c r="K17" s="5">
        <f t="shared" si="12"/>
        <v>1338.9318635262766</v>
      </c>
    </row>
    <row r="18" spans="1:11" ht="12.75">
      <c r="A18" s="4">
        <f t="shared" si="3"/>
        <v>2.968522438066983</v>
      </c>
      <c r="B18" s="5">
        <f t="shared" si="1"/>
        <v>57.447427885961254</v>
      </c>
      <c r="C18" s="4">
        <f t="shared" si="7"/>
        <v>2.271615359840036</v>
      </c>
      <c r="D18" s="4">
        <f t="shared" si="8"/>
        <v>3.6751162027942827</v>
      </c>
      <c r="E18" s="2">
        <f t="shared" si="9"/>
        <v>3.178250374465136</v>
      </c>
      <c r="F18" s="3">
        <f t="shared" si="4"/>
        <v>0</v>
      </c>
      <c r="G18" s="2">
        <f t="shared" si="10"/>
        <v>2.271615359840036</v>
      </c>
      <c r="H18" s="4">
        <f t="shared" si="11"/>
        <v>3.6751162027942827</v>
      </c>
      <c r="I18" s="7">
        <f t="shared" si="6"/>
        <v>0.0007216603815973618</v>
      </c>
      <c r="J18" s="4">
        <f t="shared" si="5"/>
        <v>0</v>
      </c>
      <c r="K18" s="5">
        <f t="shared" si="12"/>
        <v>1338.9318635262766</v>
      </c>
    </row>
    <row r="19" spans="1:11" ht="12.75">
      <c r="A19" s="4">
        <f t="shared" si="3"/>
        <v>2.968522438066983</v>
      </c>
      <c r="B19" s="5">
        <f t="shared" si="1"/>
        <v>57.447427885961254</v>
      </c>
      <c r="C19" s="4">
        <f t="shared" si="7"/>
        <v>2.271615359840036</v>
      </c>
      <c r="D19" s="4">
        <f t="shared" si="8"/>
        <v>3.6751162027942827</v>
      </c>
      <c r="E19" s="2">
        <f t="shared" si="9"/>
        <v>3.178250374465136</v>
      </c>
      <c r="F19" s="3">
        <f t="shared" si="4"/>
        <v>0</v>
      </c>
      <c r="G19" s="2">
        <f t="shared" si="10"/>
        <v>2.271615359840036</v>
      </c>
      <c r="H19" s="4">
        <f t="shared" si="11"/>
        <v>3.6751162027942827</v>
      </c>
      <c r="I19" s="7">
        <f t="shared" si="6"/>
        <v>0.0007216603815973618</v>
      </c>
      <c r="J19" s="4">
        <f t="shared" si="5"/>
        <v>0</v>
      </c>
      <c r="K19" s="5">
        <f t="shared" si="12"/>
        <v>1338.9318635262766</v>
      </c>
    </row>
    <row r="20" spans="1:11" ht="12.75">
      <c r="A20" s="4">
        <f t="shared" si="3"/>
        <v>2.968522438066983</v>
      </c>
      <c r="B20" s="5">
        <f t="shared" si="1"/>
        <v>57.447427885961254</v>
      </c>
      <c r="C20" s="4">
        <f t="shared" si="7"/>
        <v>2.271615359840036</v>
      </c>
      <c r="D20" s="4">
        <f t="shared" si="8"/>
        <v>3.6751162027942827</v>
      </c>
      <c r="E20" s="2">
        <f t="shared" si="9"/>
        <v>3.178250374465136</v>
      </c>
      <c r="F20" s="3">
        <f t="shared" si="4"/>
        <v>0</v>
      </c>
      <c r="G20" s="2">
        <f t="shared" si="10"/>
        <v>2.271615359840036</v>
      </c>
      <c r="H20" s="4">
        <f t="shared" si="11"/>
        <v>3.6751162027942827</v>
      </c>
      <c r="I20" s="7">
        <f t="shared" si="6"/>
        <v>0.0007216603815973618</v>
      </c>
      <c r="J20" s="4">
        <f t="shared" si="5"/>
        <v>0</v>
      </c>
      <c r="K20" s="5">
        <f t="shared" si="12"/>
        <v>1338.9318635262766</v>
      </c>
    </row>
    <row r="21" spans="1:11" ht="12.75">
      <c r="A21" s="4">
        <f t="shared" si="3"/>
        <v>2.968522438066983</v>
      </c>
      <c r="B21" s="5">
        <f t="shared" si="1"/>
        <v>57.447427885961254</v>
      </c>
      <c r="C21" s="4">
        <f t="shared" si="7"/>
        <v>2.271615359840036</v>
      </c>
      <c r="D21" s="4">
        <f t="shared" si="8"/>
        <v>3.6751162027942827</v>
      </c>
      <c r="E21" s="2">
        <f t="shared" si="9"/>
        <v>3.178250374465136</v>
      </c>
      <c r="F21" s="3">
        <f t="shared" si="4"/>
        <v>0</v>
      </c>
      <c r="G21" s="2">
        <f t="shared" si="10"/>
        <v>2.271615359840036</v>
      </c>
      <c r="H21" s="4">
        <f t="shared" si="11"/>
        <v>3.6751162027942827</v>
      </c>
      <c r="I21" s="7">
        <f t="shared" si="6"/>
        <v>0.0007216603815973618</v>
      </c>
      <c r="J21" s="4">
        <f t="shared" si="5"/>
        <v>0</v>
      </c>
      <c r="K21" s="5">
        <f t="shared" si="12"/>
        <v>1338.9318635262766</v>
      </c>
    </row>
    <row r="22" spans="1:11" ht="12.75">
      <c r="A22" s="4">
        <f t="shared" si="3"/>
        <v>2.968522438066983</v>
      </c>
      <c r="B22" s="5">
        <f t="shared" si="1"/>
        <v>57.447427885961254</v>
      </c>
      <c r="C22" s="4">
        <f t="shared" si="7"/>
        <v>2.271615359840036</v>
      </c>
      <c r="D22" s="4">
        <f t="shared" si="8"/>
        <v>3.6751162027942827</v>
      </c>
      <c r="E22" s="2">
        <f t="shared" si="9"/>
        <v>3.178250374465136</v>
      </c>
      <c r="F22" s="3">
        <f t="shared" si="4"/>
        <v>0</v>
      </c>
      <c r="G22" s="2">
        <f t="shared" si="10"/>
        <v>2.271615359840036</v>
      </c>
      <c r="H22" s="4">
        <f t="shared" si="11"/>
        <v>3.6751162027942827</v>
      </c>
      <c r="I22" s="7">
        <f t="shared" si="6"/>
        <v>0.0007216603815973618</v>
      </c>
      <c r="J22" s="4">
        <f t="shared" si="5"/>
        <v>0</v>
      </c>
      <c r="K22" s="5">
        <f t="shared" si="12"/>
        <v>1338.9318635262766</v>
      </c>
    </row>
    <row r="23" spans="1:11" ht="12.75">
      <c r="A23" s="4">
        <f t="shared" si="3"/>
        <v>2.968522438066983</v>
      </c>
      <c r="B23" s="5">
        <f t="shared" si="1"/>
        <v>57.447427885961254</v>
      </c>
      <c r="C23" s="4">
        <f t="shared" si="7"/>
        <v>2.271615359840036</v>
      </c>
      <c r="D23" s="4">
        <f t="shared" si="8"/>
        <v>3.6751162027942827</v>
      </c>
      <c r="E23" s="2">
        <f t="shared" si="9"/>
        <v>3.178250374465136</v>
      </c>
      <c r="F23" s="3">
        <f t="shared" si="4"/>
        <v>0</v>
      </c>
      <c r="G23" s="2">
        <f t="shared" si="10"/>
        <v>2.271615359840036</v>
      </c>
      <c r="H23" s="4">
        <f t="shared" si="11"/>
        <v>3.6751162027942827</v>
      </c>
      <c r="I23" s="7">
        <f t="shared" si="6"/>
        <v>0.0007216603815973618</v>
      </c>
      <c r="J23" s="4">
        <f t="shared" si="5"/>
        <v>0</v>
      </c>
      <c r="K23" s="5">
        <f t="shared" si="12"/>
        <v>1338.9318635262766</v>
      </c>
    </row>
    <row r="24" spans="1:11" ht="12.75">
      <c r="A24" s="4">
        <f t="shared" si="3"/>
        <v>2.968522438066983</v>
      </c>
      <c r="B24" s="5">
        <f t="shared" si="1"/>
        <v>57.447427885961254</v>
      </c>
      <c r="C24" s="4">
        <f t="shared" si="7"/>
        <v>2.271615359840036</v>
      </c>
      <c r="D24" s="4">
        <f t="shared" si="8"/>
        <v>3.6751162027942827</v>
      </c>
      <c r="E24" s="2">
        <f t="shared" si="9"/>
        <v>3.178250374465136</v>
      </c>
      <c r="F24" s="3">
        <f t="shared" si="4"/>
        <v>0</v>
      </c>
      <c r="G24" s="2">
        <f t="shared" si="10"/>
        <v>2.271615359840036</v>
      </c>
      <c r="H24" s="4">
        <f t="shared" si="11"/>
        <v>3.6751162027942827</v>
      </c>
      <c r="I24" s="7">
        <f t="shared" si="6"/>
        <v>0.0007216603815973618</v>
      </c>
      <c r="J24" s="4">
        <f t="shared" si="5"/>
        <v>0</v>
      </c>
      <c r="K24" s="5">
        <f t="shared" si="12"/>
        <v>1338.9318635262766</v>
      </c>
    </row>
    <row r="25" spans="1:11" ht="12.75">
      <c r="A25" s="4">
        <f t="shared" si="3"/>
        <v>2.968522438066983</v>
      </c>
      <c r="B25" s="5">
        <f t="shared" si="1"/>
        <v>57.447427885961254</v>
      </c>
      <c r="C25" s="4">
        <f t="shared" si="7"/>
        <v>2.271615359840036</v>
      </c>
      <c r="D25" s="4">
        <f t="shared" si="8"/>
        <v>3.6751162027942827</v>
      </c>
      <c r="E25" s="2">
        <f t="shared" si="9"/>
        <v>3.178250374465136</v>
      </c>
      <c r="F25" s="3">
        <f t="shared" si="4"/>
        <v>0</v>
      </c>
      <c r="G25" s="2">
        <f t="shared" si="10"/>
        <v>2.271615359840036</v>
      </c>
      <c r="H25" s="4">
        <f t="shared" si="11"/>
        <v>3.6751162027942827</v>
      </c>
      <c r="I25" s="7">
        <f t="shared" si="6"/>
        <v>0.0007216603815973618</v>
      </c>
      <c r="J25" s="4">
        <f t="shared" si="5"/>
        <v>0</v>
      </c>
      <c r="K25" s="5">
        <f t="shared" si="12"/>
        <v>1338.9318635262766</v>
      </c>
    </row>
    <row r="26" spans="1:11" ht="12.75">
      <c r="A26" s="4">
        <f t="shared" si="3"/>
        <v>2.968522438066983</v>
      </c>
      <c r="B26" s="5">
        <f t="shared" si="1"/>
        <v>57.447427885961254</v>
      </c>
      <c r="C26" s="4">
        <f t="shared" si="7"/>
        <v>2.271615359840036</v>
      </c>
      <c r="D26" s="4">
        <f t="shared" si="8"/>
        <v>3.6751162027942827</v>
      </c>
      <c r="E26" s="2">
        <f t="shared" si="9"/>
        <v>3.178250374465136</v>
      </c>
      <c r="F26" s="3">
        <f t="shared" si="4"/>
        <v>0</v>
      </c>
      <c r="G26" s="2">
        <f t="shared" si="10"/>
        <v>2.271615359840036</v>
      </c>
      <c r="H26" s="4">
        <f t="shared" si="11"/>
        <v>3.6751162027942827</v>
      </c>
      <c r="I26" s="7">
        <f t="shared" si="6"/>
        <v>0.0007216603815973618</v>
      </c>
      <c r="J26" s="4">
        <f t="shared" si="5"/>
        <v>0</v>
      </c>
      <c r="K26" s="5">
        <f t="shared" si="12"/>
        <v>1338.9318635262766</v>
      </c>
    </row>
    <row r="27" spans="1:11" ht="12.75">
      <c r="A27" s="4">
        <f t="shared" si="3"/>
        <v>2.968522438066983</v>
      </c>
      <c r="B27" s="5">
        <f t="shared" si="1"/>
        <v>57.447427885961254</v>
      </c>
      <c r="C27" s="4">
        <f t="shared" si="7"/>
        <v>2.271615359840036</v>
      </c>
      <c r="D27" s="4">
        <f t="shared" si="8"/>
        <v>3.6751162027942827</v>
      </c>
      <c r="E27" s="2">
        <f t="shared" si="9"/>
        <v>3.178250374465136</v>
      </c>
      <c r="F27" s="3">
        <f t="shared" si="4"/>
        <v>0</v>
      </c>
      <c r="G27" s="2">
        <f t="shared" si="10"/>
        <v>2.271615359840036</v>
      </c>
      <c r="H27" s="4">
        <f t="shared" si="11"/>
        <v>3.6751162027942827</v>
      </c>
      <c r="I27" s="7">
        <f t="shared" si="6"/>
        <v>0.0007216603815973618</v>
      </c>
      <c r="J27" s="4">
        <f t="shared" si="5"/>
        <v>0</v>
      </c>
      <c r="K27" s="5">
        <f t="shared" si="12"/>
        <v>1338.9318635262766</v>
      </c>
    </row>
    <row r="28" spans="1:11" ht="12.75">
      <c r="A28" s="4">
        <f t="shared" si="3"/>
        <v>2.968522438066983</v>
      </c>
      <c r="B28" s="5">
        <f t="shared" si="1"/>
        <v>57.447427885961254</v>
      </c>
      <c r="C28" s="4">
        <f t="shared" si="7"/>
        <v>2.271615359840036</v>
      </c>
      <c r="D28" s="4">
        <f t="shared" si="8"/>
        <v>3.6751162027942827</v>
      </c>
      <c r="E28" s="2">
        <f t="shared" si="9"/>
        <v>3.178250374465136</v>
      </c>
      <c r="F28" s="3">
        <f t="shared" si="4"/>
        <v>0</v>
      </c>
      <c r="G28" s="2">
        <f t="shared" si="10"/>
        <v>2.271615359840036</v>
      </c>
      <c r="H28" s="4">
        <f t="shared" si="11"/>
        <v>3.6751162027942827</v>
      </c>
      <c r="I28" s="7">
        <f t="shared" si="6"/>
        <v>0.0007216603815973618</v>
      </c>
      <c r="J28" s="4">
        <f t="shared" si="5"/>
        <v>0</v>
      </c>
      <c r="K28" s="5">
        <f t="shared" si="12"/>
        <v>1338.9318635262766</v>
      </c>
    </row>
    <row r="29" spans="1:11" ht="12.75">
      <c r="A29" s="4">
        <f t="shared" si="3"/>
        <v>2.968522438066983</v>
      </c>
      <c r="B29" s="5">
        <f t="shared" si="1"/>
        <v>57.447427885961254</v>
      </c>
      <c r="C29" s="4">
        <f t="shared" si="7"/>
        <v>2.271615359840036</v>
      </c>
      <c r="D29" s="4">
        <f t="shared" si="8"/>
        <v>3.6751162027942827</v>
      </c>
      <c r="E29" s="2">
        <f t="shared" si="9"/>
        <v>3.178250374465136</v>
      </c>
      <c r="F29" s="3">
        <f t="shared" si="4"/>
        <v>0</v>
      </c>
      <c r="G29" s="2">
        <f t="shared" si="10"/>
        <v>2.271615359840036</v>
      </c>
      <c r="H29" s="4">
        <f t="shared" si="11"/>
        <v>3.6751162027942827</v>
      </c>
      <c r="I29" s="7">
        <f t="shared" si="6"/>
        <v>0.0007216603815973618</v>
      </c>
      <c r="J29" s="4">
        <f t="shared" si="5"/>
        <v>0</v>
      </c>
      <c r="K29" s="5">
        <f t="shared" si="12"/>
        <v>1338.9318635262766</v>
      </c>
    </row>
    <row r="30" spans="1:11" ht="12.75">
      <c r="A30" s="4">
        <f t="shared" si="3"/>
        <v>2.968522438066983</v>
      </c>
      <c r="B30" s="5">
        <f t="shared" si="1"/>
        <v>57.447427885961254</v>
      </c>
      <c r="C30" s="4">
        <f t="shared" si="7"/>
        <v>2.271615359840036</v>
      </c>
      <c r="D30" s="4">
        <f t="shared" si="8"/>
        <v>3.6751162027942827</v>
      </c>
      <c r="E30" s="2">
        <f t="shared" si="9"/>
        <v>3.178250374465136</v>
      </c>
      <c r="F30" s="3">
        <f t="shared" si="4"/>
        <v>0</v>
      </c>
      <c r="G30" s="2">
        <f t="shared" si="10"/>
        <v>2.271615359840036</v>
      </c>
      <c r="H30" s="4">
        <f t="shared" si="11"/>
        <v>3.6751162027942827</v>
      </c>
      <c r="I30" s="7">
        <f t="shared" si="6"/>
        <v>0.0007216603815973618</v>
      </c>
      <c r="J30" s="4">
        <f t="shared" si="5"/>
        <v>0</v>
      </c>
      <c r="K30" s="5">
        <f t="shared" si="12"/>
        <v>1338.9318635262766</v>
      </c>
    </row>
    <row r="31" spans="1:11" ht="12.75">
      <c r="A31" s="4">
        <f t="shared" si="3"/>
        <v>2.968522438066983</v>
      </c>
      <c r="B31" s="5">
        <f t="shared" si="1"/>
        <v>57.447427885961254</v>
      </c>
      <c r="C31" s="4">
        <f t="shared" si="7"/>
        <v>2.271615359840036</v>
      </c>
      <c r="D31" s="4">
        <f t="shared" si="8"/>
        <v>3.6751162027942827</v>
      </c>
      <c r="E31" s="2">
        <f t="shared" si="9"/>
        <v>3.178250374465136</v>
      </c>
      <c r="F31" s="3">
        <f t="shared" si="4"/>
        <v>0</v>
      </c>
      <c r="G31" s="2">
        <f t="shared" si="10"/>
        <v>2.271615359840036</v>
      </c>
      <c r="H31" s="4">
        <f t="shared" si="11"/>
        <v>3.6751162027942827</v>
      </c>
      <c r="I31" s="7">
        <f t="shared" si="6"/>
        <v>0.0007216603815973618</v>
      </c>
      <c r="J31" s="4">
        <f t="shared" si="5"/>
        <v>0</v>
      </c>
      <c r="K31" s="5">
        <f t="shared" si="12"/>
        <v>1338.9318635262766</v>
      </c>
    </row>
    <row r="32" spans="1:11" ht="12.75">
      <c r="A32" s="4">
        <f t="shared" si="3"/>
        <v>2.968522438066983</v>
      </c>
      <c r="B32" s="5">
        <f t="shared" si="1"/>
        <v>57.447427885961254</v>
      </c>
      <c r="C32" s="4">
        <f t="shared" si="7"/>
        <v>2.271615359840036</v>
      </c>
      <c r="D32" s="4">
        <f t="shared" si="8"/>
        <v>3.6751162027942827</v>
      </c>
      <c r="E32" s="2">
        <f t="shared" si="9"/>
        <v>3.178250374465136</v>
      </c>
      <c r="F32" s="3">
        <f t="shared" si="4"/>
        <v>0</v>
      </c>
      <c r="G32" s="2">
        <f t="shared" si="10"/>
        <v>2.271615359840036</v>
      </c>
      <c r="H32" s="4">
        <f t="shared" si="11"/>
        <v>3.6751162027942827</v>
      </c>
      <c r="I32" s="7">
        <f t="shared" si="6"/>
        <v>0.0007216603815973618</v>
      </c>
      <c r="J32" s="4">
        <f t="shared" si="5"/>
        <v>0</v>
      </c>
      <c r="K32" s="5">
        <f t="shared" si="12"/>
        <v>1338.9318635262766</v>
      </c>
    </row>
    <row r="33" spans="1:11" ht="12.75">
      <c r="A33" s="4">
        <f t="shared" si="3"/>
        <v>2.968522438066983</v>
      </c>
      <c r="B33" s="1">
        <f>A33*$B$2</f>
        <v>57.447427885961254</v>
      </c>
      <c r="C33" s="4">
        <f t="shared" si="7"/>
        <v>2.271615359840036</v>
      </c>
      <c r="D33" s="4">
        <f t="shared" si="8"/>
        <v>3.6751162027942827</v>
      </c>
      <c r="E33" s="1">
        <f t="shared" si="9"/>
        <v>3.178250374465136</v>
      </c>
      <c r="F33" s="1">
        <f t="shared" si="4"/>
        <v>0</v>
      </c>
      <c r="G33" s="2">
        <f t="shared" si="10"/>
        <v>2.271615359840036</v>
      </c>
      <c r="H33" s="4">
        <f t="shared" si="11"/>
        <v>3.6751162027942827</v>
      </c>
      <c r="I33" s="7">
        <f t="shared" si="6"/>
        <v>0.0007216603815973618</v>
      </c>
      <c r="J33" s="4">
        <f t="shared" si="5"/>
        <v>0</v>
      </c>
      <c r="K33" s="5">
        <f t="shared" si="12"/>
        <v>1338.9318635262766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Gonzaga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E. Bormann</dc:creator>
  <cp:keywords/>
  <dc:description/>
  <cp:lastModifiedBy>Noel Bormann</cp:lastModifiedBy>
  <cp:lastPrinted>2006-01-12T01:07:10Z</cp:lastPrinted>
  <dcterms:created xsi:type="dcterms:W3CDTF">2002-03-21T19:36:17Z</dcterms:created>
  <dcterms:modified xsi:type="dcterms:W3CDTF">2006-01-23T21:00:36Z</dcterms:modified>
  <cp:category/>
  <cp:version/>
  <cp:contentType/>
  <cp:contentStatus/>
</cp:coreProperties>
</file>